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<sst xmlns="http://schemas.openxmlformats.org/spreadsheetml/2006/main" count="281" uniqueCount="196">
  <si>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</si>
  <si>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</si>
  <si>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</si>
  <si>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</si>
  <si>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</si>
  <si>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</si>
  <si>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</si>
  <si>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</si>
  <si>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</si>
  <si>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</si>
  <si>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</si>
  <si>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</si>
  <si>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</si>
  <si>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</si>
  <si>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</si>
  <si>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</si>
  <si>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</si>
  <si>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</si>
  <si>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</si>
  <si>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</si>
  <si>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</si>
  <si>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</si>
  <si>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</si>
  <si>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</si>
  <si>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</si>
  <si>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</si>
  <si>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</si>
  <si>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</si>
  <si>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</si>
  <si>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</si>
  <si>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</si>
  <si>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</si>
  <si>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</si>
  <si>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</si>
  <si>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</si>
  <si>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</si>
  <si>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</si>
  <si>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</si>
  <si>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</si>
  <si>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</si>
  <si>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</si>
  <si>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</si>
  <si>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</si>
  <si>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</si>
  <si>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</si>
  <si>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</si>
  <si>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</si>
  <si>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</si>
  <si>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</si>
  <si>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</si>
  <si>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</si>
  <si>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</si>
  <si>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</si>
  <si>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</si>
  <si>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</si>
  <si>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</si>
  <si>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</si>
  <si>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</si>
  <si>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</si>
  <si>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</si>
  <si>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</si>
  <si>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</si>
  <si>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</si>
  <si>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</si>
  <si>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</si>
  <si>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</si>
  <si>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</si>
  <si>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</si>
  <si>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</si>
  <si>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</si>
  <si>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</si>
  <si>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</si>
  <si>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</si>
  <si>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</si>
  <si>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</si>
  <si>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</si>
  <si>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</si>
  <si>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</si>
  <si>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</si>
  <si>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</si>
  <si>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</si>
  <si>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</si>
  <si>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</si>
  <si>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</si>
  <si>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</si>
  <si>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</si>
  <si>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</si>
  <si>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</si>
  <si>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</si>
  <si>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</si>
  <si>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</si>
  <si>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</si>
  <si>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</si>
  <si>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</si>
  <si>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</si>
  <si>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</si>
  <si>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</si>
  <si>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</si>
  <si>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</si>
  <si>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</si>
  <si>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</si>
  <si>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</si>
  <si>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</si>
  <si>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</si>
  <si>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</si>
  <si>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</si>
  <si>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</si>
  <si>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</si>
  <si>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</si>
  <si>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</si>
  <si>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</si>
  <si>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</si>
  <si>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</si>
  <si>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</si>
  <si>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</si>
  <si>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</si>
  <si>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</si>
  <si>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</si>
  <si>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</si>
  <si>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</si>
  <si>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</si>
  <si>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</si>
  <si>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</si>
  <si>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</si>
  <si>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</si>
  <si>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</si>
  <si>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</si>
  <si>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</si>
  <si>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</si>
  <si>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</si>
  <si>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</si>
  <si>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</si>
  <si>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</si>
  <si>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</si>
  <si>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</si>
  <si>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</si>
  <si>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</si>
  <si>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</si>
  <si>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</si>
  <si>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</si>
  <si>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</si>
  <si>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</si>
  <si>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</si>
  <si>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</si>
  <si>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</si>
  <si>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</si>
  <si>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</si>
  <si>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</si>
  <si>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</si>
  <si>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</si>
  <si>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</si>
  <si>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</si>
  <si>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</si>
  <si>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</si>
  <si>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</si>
  <si>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</si>
  <si>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</si>
  <si>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</si>
  <si>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</si>
  <si>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</si>
  <si>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</si>
  <si>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</si>
  <si>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</si>
  <si>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</si>
  <si>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</si>
  <si>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</si>
  <si>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</si>
  <si>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</si>
  <si>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</si>
  <si>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</si>
  <si>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</si>
  <si>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</si>
  <si>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</si>
  <si>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</si>
  <si>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</si>
  <si>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</si>
  <si>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</si>
  <si>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</si>
  <si>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</si>
  <si>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</si>
  <si>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</si>
  <si>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</si>
  <si>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</si>
  <si>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</si>
  <si>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</si>
  <si>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</si>
  <si>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</si>
  <si>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</si>
  <si>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</si>
  <si>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</si>
  <si>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</si>
  <si>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Baierbrunn</t>
  </si>
  <si>
    <t>Stand: 09.02.2023</t>
  </si>
  <si>
    <t>Die Gemeinde Baierbrunn setzt sich folgende Ziele:</t>
  </si>
  <si>
    <t>Baierbrunn</t>
  </si>
  <si>
    <t>Buchenhain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</si>
</sst>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4285.38</c:v>
                </c:pt>
                <c:pt idx="1">
                  <c:v>3454.1665324439605</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6139.7699999999995</c:v>
                </c:pt>
                <c:pt idx="1">
                  <c:v>8040.2871065520594</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577.29</c:v>
                </c:pt>
                <c:pt idx="1">
                  <c:v>401.01302553387438</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4398.9939759036151</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422470600"/>
        <c:axId val="422469816"/>
      </c:barChart>
      <c:catAx>
        <c:axId val="42247060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22469816"/>
        <c:crosses val="autoZero"/>
        <c:auto val="1"/>
        <c:lblAlgn val="ctr"/>
        <c:lblOffset val="100"/>
        <c:noMultiLvlLbl val="0"/>
      </c:catAx>
      <c:valAx>
        <c:axId val="42246981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22470600"/>
        <c:crosses val="autoZero"/>
        <c:crossBetween val="between"/>
      </c:valAx>
      <c:spPr>
        <a:noFill/>
        <a:ln>
          <a:noFill/>
        </a:ln>
        <a:effectLst/>
      </c:spPr>
    </c:plotArea>
    <c:legend>
      <c:legendPos val="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25012</c:v>
                </c:pt>
                <c:pt idx="1">
                  <c:v>25012</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422469424"/>
        <c:axId val="422469032"/>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12372.149999999998</c:v>
                </c:pt>
                <c:pt idx="1">
                  <c:v>16294.460640433508</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422470208"/>
        <c:axId val="422468640"/>
      </c:scatterChart>
      <c:valAx>
        <c:axId val="422470208"/>
        <c:scaling>
          <c:orientation val="minMax"/>
        </c:scaling>
        <c:delete val="1"/>
        <c:axPos val="t"/>
        <c:numFmt formatCode="#,##0" sourceLinked="1"/>
        <c:majorTickMark val="out"/>
        <c:minorTickMark val="none"/>
        <c:tickLblPos val="nextTo"/>
        <c:crossAx val="422468640"/>
        <c:crosses val="max"/>
        <c:crossBetween val="midCat"/>
      </c:valAx>
      <c:valAx>
        <c:axId val="422468640"/>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422470208"/>
        <c:crosses val="autoZero"/>
        <c:crossBetween val="midCat"/>
      </c:valAx>
      <c:valAx>
        <c:axId val="422469032"/>
        <c:scaling>
          <c:orientation val="minMax"/>
        </c:scaling>
        <c:delete val="0"/>
        <c:axPos val="b"/>
        <c:numFmt formatCode="#,###" sourceLinked="0"/>
        <c:majorTickMark val="out"/>
        <c:minorTickMark val="none"/>
        <c:tickLblPos val="nextTo"/>
        <c:txPr>
          <a:bodyPr/>
          <a:lstStyle/>
          <a:p>
            <a:pPr algn="ctr">
              <a:defRPr sz="800"/>
            </a:pPr>
            <a:endParaRPr lang="de-DE"/>
          </a:p>
        </c:txPr>
        <c:crossAx val="422469424"/>
        <c:crosses val="autoZero"/>
        <c:crossBetween val="between"/>
      </c:valAx>
      <c:catAx>
        <c:axId val="422469424"/>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22469032"/>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17096.84</c:v>
                </c:pt>
                <c:pt idx="1">
                  <c:v>15464.748000000001</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7284.75</c:v>
                </c:pt>
                <c:pt idx="1">
                  <c:v>11576.251940172646</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657</c:v>
                </c:pt>
                <c:pt idx="1">
                  <c:v>683.09983937216589</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421696952"/>
        <c:axId val="421699696"/>
      </c:barChart>
      <c:catAx>
        <c:axId val="42169695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21699696"/>
        <c:crosses val="autoZero"/>
        <c:auto val="1"/>
        <c:lblAlgn val="ctr"/>
        <c:lblOffset val="100"/>
        <c:noMultiLvlLbl val="0"/>
      </c:catAx>
      <c:valAx>
        <c:axId val="4216996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2169695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2906</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22133</c:v>
                </c:pt>
                <c:pt idx="1">
                  <c:v>27724.099779544813</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25762448"/>
        <c:axId val="421698912"/>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25039</c:v>
                </c:pt>
                <c:pt idx="1">
                  <c:v>27724.099779544813</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421698128"/>
        <c:axId val="421700480"/>
      </c:scatterChart>
      <c:valAx>
        <c:axId val="421698128"/>
        <c:scaling>
          <c:orientation val="minMax"/>
        </c:scaling>
        <c:delete val="1"/>
        <c:axPos val="t"/>
        <c:numFmt formatCode="#,##0" sourceLinked="1"/>
        <c:majorTickMark val="out"/>
        <c:minorTickMark val="none"/>
        <c:tickLblPos val="nextTo"/>
        <c:crossAx val="421700480"/>
        <c:crosses val="max"/>
        <c:crossBetween val="midCat"/>
      </c:valAx>
      <c:valAx>
        <c:axId val="421700480"/>
        <c:scaling>
          <c:orientation val="minMax"/>
          <c:max val="2044"/>
          <c:min val="2010"/>
        </c:scaling>
        <c:delete val="1"/>
        <c:axPos val="l"/>
        <c:numFmt formatCode="#,##0" sourceLinked="0"/>
        <c:majorTickMark val="out"/>
        <c:minorTickMark val="none"/>
        <c:tickLblPos val="nextTo"/>
        <c:crossAx val="421698128"/>
        <c:crosses val="autoZero"/>
        <c:crossBetween val="midCat"/>
      </c:valAx>
      <c:valAx>
        <c:axId val="421698912"/>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5762448"/>
        <c:crosses val="autoZero"/>
        <c:crossBetween val="between"/>
      </c:valAx>
      <c:catAx>
        <c:axId val="12576244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421698912"/>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0</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6653.7839470907556</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4038.6120481927715</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699030640"/>
        <c:axId val="699031424"/>
      </c:barChart>
      <c:catAx>
        <c:axId val="699030640"/>
        <c:scaling>
          <c:orientation val="minMax"/>
        </c:scaling>
        <c:delete val="1"/>
        <c:axPos val="l"/>
        <c:numFmt formatCode="General" sourceLinked="1"/>
        <c:majorTickMark val="none"/>
        <c:minorTickMark val="none"/>
        <c:tickLblPos val="nextTo"/>
        <c:crossAx val="699031424"/>
        <c:crosses val="autoZero"/>
        <c:auto val="1"/>
        <c:lblAlgn val="ctr"/>
        <c:lblOffset val="100"/>
        <c:noMultiLvlLbl val="0"/>
      </c:catAx>
      <c:valAx>
        <c:axId val="699031424"/>
        <c:scaling>
          <c:orientation val="minMax"/>
        </c:scaling>
        <c:delete val="1"/>
        <c:axPos val="b"/>
        <c:numFmt formatCode="#,##0\ &quot;t/a&quot;" sourceLinked="1"/>
        <c:majorTickMark val="none"/>
        <c:minorTickMark val="none"/>
        <c:tickLblPos val="nextTo"/>
        <c:crossAx val="6990306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topLeftCell="A24"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16.294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32 %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27 %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45000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10444.717665</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64800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f>H77</f>
        <v>25012</v>
      </c>
      <c r="G31" s="212"/>
      <c r="H31" s="206"/>
      <c r="I31" s="206"/>
      <c r="J31" s="207"/>
      <c r="K31" s="207"/>
      <c r="L31" s="162"/>
    </row>
    <row r="32" spans="1:22" ht="23.25" customHeight="1" x14ac:dyDescent="0.2">
      <c r="A32" s="14"/>
      <c r="B32" s="209" t="s">
        <v>32</v>
      </c>
      <c r="C32" s="209"/>
      <c r="D32" s="159"/>
      <c r="E32" s="159"/>
      <c r="F32" s="210">
        <f>SUM(F27:F31)</f>
        <v>25012</v>
      </c>
      <c r="G32" s="210"/>
      <c r="H32" s="224">
        <f>SUM(H27:H31)</f>
        <v>120244.717665</v>
      </c>
      <c r="I32" s="224"/>
      <c r="J32" s="221">
        <f>IF(H32&gt;0,F32/H32,0)</f>
        <v>0.20800913741327964</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4285.38</v>
      </c>
      <c r="E76" s="184">
        <f>LOOKUP('Basis-Annahmen'!E5,'Nachfrage &amp; Erzeugung'!D9:G9,'Nachfrage &amp; Erzeugung'!D11:G11)</f>
        <v>3454.1665324439605</v>
      </c>
      <c r="F76" s="175"/>
      <c r="G76" s="175"/>
      <c r="H76" s="175"/>
      <c r="I76" s="175"/>
      <c r="J76" s="154"/>
      <c r="K76" s="172"/>
      <c r="L76" s="172"/>
    </row>
    <row r="77" spans="1:12" x14ac:dyDescent="0.2">
      <c r="A77" s="154"/>
      <c r="B77" s="154"/>
      <c r="C77" s="176" t="str">
        <f>'Nachfrage &amp; Erzeugung'!B12</f>
        <v>GHD / Industrie</v>
      </c>
      <c r="D77" s="184">
        <f>'Nachfrage &amp; Erzeugung'!C12</f>
        <v>6139.7699999999995</v>
      </c>
      <c r="E77" s="184">
        <f>LOOKUP('Basis-Annahmen'!E5,'Nachfrage &amp; Erzeugung'!D9:G9,'Nachfrage &amp; Erzeugung'!D12:G12)</f>
        <v>8040.2871065520594</v>
      </c>
      <c r="F77" s="175"/>
      <c r="G77" s="176" t="s">
        <v>103</v>
      </c>
      <c r="H77" s="184">
        <f>'Nachfrage &amp; Erzeugung'!C21</f>
        <v>25012</v>
      </c>
      <c r="I77" s="184">
        <f>F31</f>
        <v>25012</v>
      </c>
      <c r="J77" s="154"/>
      <c r="K77" s="172"/>
      <c r="L77" s="172"/>
    </row>
    <row r="78" spans="1:12" x14ac:dyDescent="0.2">
      <c r="A78" s="154"/>
      <c r="B78" s="154"/>
      <c r="C78" s="176" t="str">
        <f>'Nachfrage &amp; Erzeugung'!B13</f>
        <v>Kommunale Einrichtungen</v>
      </c>
      <c r="D78" s="184">
        <f>'Nachfrage &amp; Erzeugung'!C13</f>
        <v>577.29</v>
      </c>
      <c r="E78" s="184">
        <f>LOOKUP('Basis-Annahmen'!E5,'Nachfrage &amp; Erzeugung'!D9:G9,'Nachfrage &amp; Erzeugung'!D13:G13)</f>
        <v>401.01302553387438</v>
      </c>
      <c r="F78" s="175"/>
      <c r="G78" s="176" t="str">
        <f>'Nachfrage &amp; Erzeugung'!B29</f>
        <v>Nicht aus lokalen EE gedeckter Strombedarf</v>
      </c>
      <c r="H78" s="184">
        <f>'Nachfrage &amp; Erzeugung'!C29</f>
        <v>0</v>
      </c>
      <c r="I78" s="184">
        <f>MAX(0,E82-SUM(I79:I82)-I77)</f>
        <v>0</v>
      </c>
      <c r="J78" s="154"/>
      <c r="K78" s="172"/>
      <c r="L78" s="172"/>
    </row>
    <row r="79" spans="1:12" x14ac:dyDescent="0.2">
      <c r="A79" s="154"/>
      <c r="B79" s="154"/>
      <c r="C79" s="176" t="str">
        <f>'Nachfrage &amp; Erzeugung'!B14</f>
        <v>Mobilität</v>
      </c>
      <c r="D79" s="184"/>
      <c r="E79" s="184">
        <f>LOOKUP('Basis-Annahmen'!E5,'Nachfrage &amp; Erzeugung'!D9:G9,'Nachfrage &amp; Erzeugung'!D14:G14)</f>
        <v>4398.9939759036151</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12372.149999999998</v>
      </c>
      <c r="E82" s="184">
        <f>LOOKUP('Basis-Annahmen'!E5,'Nachfrage &amp; Erzeugung'!D9:G9,'Nachfrage &amp; Erzeugung'!D10:G10)</f>
        <v>16294.460640433508</v>
      </c>
      <c r="F82" s="175"/>
      <c r="G82" s="176" t="s">
        <v>24</v>
      </c>
      <c r="H82" s="184">
        <v>0</v>
      </c>
      <c r="I82" s="184">
        <f>F30</f>
        <v>0</v>
      </c>
      <c r="J82" s="154"/>
      <c r="K82" s="172"/>
      <c r="L82" s="172"/>
    </row>
    <row r="83" spans="1:12" x14ac:dyDescent="0.2">
      <c r="A83" s="154"/>
      <c r="B83" s="154"/>
      <c r="C83" s="176" t="s">
        <v>100</v>
      </c>
      <c r="D83" s="175"/>
      <c r="E83" s="186">
        <f>(E82-D82)/D82</f>
        <v>0.31702740755919634</v>
      </c>
      <c r="F83" s="175"/>
      <c r="G83" s="176"/>
      <c r="H83" s="184"/>
      <c r="I83" s="184"/>
      <c r="J83" s="154"/>
      <c r="K83" s="172"/>
      <c r="L83" s="172"/>
    </row>
    <row r="84" spans="1:12" x14ac:dyDescent="0.2">
      <c r="A84" s="154"/>
      <c r="B84" s="154"/>
      <c r="C84" s="176" t="s">
        <v>101</v>
      </c>
      <c r="D84" s="175"/>
      <c r="E84" s="186">
        <f>E79/E82</f>
        <v>0.26996867665492619</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27.724 MWh/a</v>
      </c>
      <c r="J13" s="201"/>
      <c r="K13" s="201"/>
      <c r="L13" s="10"/>
    </row>
    <row r="14" spans="1:12" ht="18" customHeight="1" x14ac:dyDescent="0.2">
      <c r="A14" s="10"/>
      <c r="B14" s="10"/>
      <c r="D14" s="200" t="s">
        <v>185</v>
      </c>
      <c r="E14" s="200"/>
      <c r="F14" s="200"/>
      <c r="G14" s="200"/>
      <c r="H14" s="200"/>
      <c r="I14" s="201" t="str">
        <f>""&amp;FIXED(D82,0,FALSE)&amp;" MWh/a"</f>
        <v>25.039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11 %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27724.099779544813</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27724.099779544813</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27724.099779544813</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17096.84</v>
      </c>
      <c r="E78" s="190">
        <f>LOOKUP('Basis-Annahmen'!E5,'Nachfrage &amp; Erzeugung'!D36:G36,'Nachfrage &amp; Erzeugung'!D38:G38)</f>
        <v>15464.748000000001</v>
      </c>
      <c r="F78" s="175"/>
      <c r="G78" s="175"/>
      <c r="H78" s="175"/>
      <c r="I78" s="175"/>
      <c r="J78" s="154"/>
      <c r="K78" s="154"/>
      <c r="L78" s="154"/>
    </row>
    <row r="79" spans="1:12" x14ac:dyDescent="0.2">
      <c r="A79" s="172"/>
      <c r="B79" s="172"/>
      <c r="C79" s="176" t="str">
        <f>'Nachfrage &amp; Erzeugung'!B39</f>
        <v>GHD / Industrie</v>
      </c>
      <c r="D79" s="190">
        <f>'Nachfrage &amp; Erzeugung'!C39</f>
        <v>7284.75</v>
      </c>
      <c r="E79" s="190">
        <f>LOOKUP('Basis-Annahmen'!E5,'Nachfrage &amp; Erzeugung'!D36:G36,'Nachfrage &amp; Erzeugung'!D39:G39)</f>
        <v>11576.251940172646</v>
      </c>
      <c r="F79" s="175"/>
      <c r="G79" s="176" t="s">
        <v>56</v>
      </c>
      <c r="H79" s="190">
        <f>'Nachfrage &amp; Erzeugung'!C46</f>
        <v>2906</v>
      </c>
      <c r="I79" s="190">
        <f>I40</f>
        <v>0</v>
      </c>
      <c r="J79" s="154"/>
      <c r="K79" s="154"/>
      <c r="L79" s="154"/>
    </row>
    <row r="80" spans="1:12" x14ac:dyDescent="0.2">
      <c r="A80" s="172"/>
      <c r="B80" s="172"/>
      <c r="C80" s="176" t="str">
        <f>'Nachfrage &amp; Erzeugung'!B40</f>
        <v>Kommunale Einrichtungen</v>
      </c>
      <c r="D80" s="190">
        <f>'Nachfrage &amp; Erzeugung'!C40</f>
        <v>657</v>
      </c>
      <c r="E80" s="190">
        <f>LOOKUP('Basis-Annahmen'!E5,'Nachfrage &amp; Erzeugung'!D36:G36,'Nachfrage &amp; Erzeugung'!D40:G40)</f>
        <v>683.09983937216589</v>
      </c>
      <c r="F80" s="175"/>
      <c r="G80" s="176" t="str">
        <f>'Nachfrage &amp; Erzeugung'!B47</f>
        <v>Nicht erneuerbare Wärmeerzeugung</v>
      </c>
      <c r="H80" s="190">
        <f>MAX(0,H82-H79)</f>
        <v>22133</v>
      </c>
      <c r="I80" s="190">
        <f>MAX(0,I82-I79)</f>
        <v>27724.099779544813</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25039</v>
      </c>
      <c r="E82" s="190">
        <f>LOOKUP('Basis-Annahmen'!E5,'Nachfrage &amp; Erzeugung'!D36:G36,'Nachfrage &amp; Erzeugung'!D37:G37)</f>
        <v>27724.099779544813</v>
      </c>
      <c r="F82" s="175"/>
      <c r="G82" s="176" t="s">
        <v>83</v>
      </c>
      <c r="H82" s="190">
        <f>'Nachfrage &amp; Erzeugung'!C37</f>
        <v>25039</v>
      </c>
      <c r="I82" s="190">
        <f>LOOKUP('Basis-Annahmen'!E5,'Nachfrage &amp; Erzeugung'!D36:G36,'Nachfrage &amp; Erzeugung'!D37:G37)</f>
        <v>27724.099779544813</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0.10723670192678673</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topLeftCell="A9"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3460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0</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0</v>
      </c>
      <c r="I12" s="265"/>
      <c r="J12" s="265"/>
      <c r="K12" s="177"/>
    </row>
    <row r="13" spans="1:14" ht="24.6" customHeight="1" x14ac:dyDescent="0.2">
      <c r="A13" s="14"/>
      <c r="B13" s="177"/>
      <c r="C13" s="259" t="s">
        <v>164</v>
      </c>
      <c r="D13" s="259"/>
      <c r="E13" s="259"/>
      <c r="F13" s="259"/>
      <c r="G13" s="259"/>
      <c r="H13" s="266">
        <f>H12/H5</f>
        <v>0</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27724.099779544813</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6653.7839470907556</v>
      </c>
      <c r="I20" s="265"/>
      <c r="J20" s="265"/>
      <c r="K20" s="177"/>
    </row>
    <row r="21" spans="1:11" ht="24.6" customHeight="1" x14ac:dyDescent="0.2">
      <c r="A21" s="14"/>
      <c r="B21" s="177"/>
      <c r="C21" s="259" t="s">
        <v>164</v>
      </c>
      <c r="D21" s="259"/>
      <c r="E21" s="259"/>
      <c r="F21" s="259"/>
      <c r="G21" s="259"/>
      <c r="H21" s="266">
        <f>H20/H5</f>
        <v>1.9230589442458832</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2.8</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4038.6120481927715</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1.1672289156626507</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10692.395995283527</v>
      </c>
      <c r="I31" s="265"/>
      <c r="J31" s="265"/>
      <c r="K31" s="177"/>
    </row>
    <row r="32" spans="1:11" ht="24.6" customHeight="1" x14ac:dyDescent="0.2">
      <c r="A32" s="14"/>
      <c r="B32" s="177"/>
      <c r="C32" s="259" t="s">
        <v>164</v>
      </c>
      <c r="D32" s="259"/>
      <c r="E32" s="259"/>
      <c r="F32" s="259"/>
      <c r="G32" s="259"/>
      <c r="H32" s="266">
        <f>H27+H21+H13</f>
        <v>3.0902878599085337</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0</v>
      </c>
      <c r="E56" s="154"/>
      <c r="F56" s="154"/>
      <c r="G56" s="154"/>
      <c r="H56" s="154"/>
      <c r="I56" s="154"/>
      <c r="J56" s="154"/>
      <c r="K56" s="154"/>
    </row>
    <row r="57" spans="1:12" x14ac:dyDescent="0.2">
      <c r="C57" s="154" t="s">
        <v>72</v>
      </c>
      <c r="D57" s="183">
        <f>H20</f>
        <v>6653.7839470907556</v>
      </c>
      <c r="E57" s="154"/>
      <c r="F57" s="154"/>
      <c r="G57" s="154"/>
      <c r="H57" s="154"/>
      <c r="I57" s="154"/>
      <c r="J57" s="154"/>
      <c r="K57" s="154"/>
    </row>
    <row r="58" spans="1:12" x14ac:dyDescent="0.2">
      <c r="C58" s="154" t="s">
        <v>170</v>
      </c>
      <c r="D58" s="183">
        <f>H26</f>
        <v>4038.6120481927715</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1.4498933901918977E-2</v>
      </c>
      <c r="F14" s="48">
        <v>0.05</v>
      </c>
      <c r="G14" s="48">
        <v>0.3</v>
      </c>
      <c r="H14" s="48">
        <v>0.6</v>
      </c>
      <c r="I14" s="52">
        <v>1</v>
      </c>
      <c r="J14" s="14"/>
    </row>
    <row r="15" spans="1:26" ht="30" customHeight="1" x14ac:dyDescent="0.2">
      <c r="A15" s="14"/>
      <c r="B15" s="281" t="s">
        <v>50</v>
      </c>
      <c r="C15" s="282"/>
      <c r="D15" s="282"/>
      <c r="E15" s="53">
        <f>E47/E45</f>
        <v>2.814498933901919E-2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3320</v>
      </c>
      <c r="F34" s="69">
        <v>3380</v>
      </c>
      <c r="G34" s="69">
        <v>3420</v>
      </c>
      <c r="H34" s="69">
        <v>3460</v>
      </c>
      <c r="I34" s="70">
        <v>3500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1.8072289156626505E-2</v>
      </c>
      <c r="G36" s="67">
        <f>(G34-F34)/F34</f>
        <v>1.1834319526627219E-2</v>
      </c>
      <c r="H36" s="67">
        <f>(H34-G34)/G34</f>
        <v>1.1695906432748537E-2</v>
      </c>
      <c r="I36" s="68">
        <f>(I34-H34)/H34</f>
        <v>1.1560693641618497E-2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49</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0.70632530120481929</v>
      </c>
      <c r="F44" s="73">
        <f>E44*(1+(F13*(F43-E43)))</f>
        <v>0.70632530120481929</v>
      </c>
      <c r="G44" s="73">
        <f t="shared" ref="G44:I44" si="0">F44*(1+(G13*(G43-F43)))</f>
        <v>0.70632530120481929</v>
      </c>
      <c r="H44" s="73">
        <f t="shared" si="0"/>
        <v>0.70632530120481929</v>
      </c>
      <c r="I44" s="188">
        <f t="shared" si="0"/>
        <v>0.70632530120481929</v>
      </c>
      <c r="J44" s="14"/>
    </row>
    <row r="45" spans="1:10" ht="19.5" customHeight="1" x14ac:dyDescent="0.2">
      <c r="A45" s="14"/>
      <c r="B45" s="271" t="s">
        <v>4</v>
      </c>
      <c r="C45" s="272"/>
      <c r="D45" s="272"/>
      <c r="E45" s="69">
        <v>2345</v>
      </c>
      <c r="F45" s="36">
        <f>F44*F34</f>
        <v>2387.3795180722891</v>
      </c>
      <c r="G45" s="36">
        <f t="shared" ref="G45:I45" si="1">G44*G34</f>
        <v>2415.632530120482</v>
      </c>
      <c r="H45" s="36">
        <f t="shared" si="1"/>
        <v>2443.8855421686749</v>
      </c>
      <c r="I45" s="74">
        <f t="shared" si="1"/>
        <v>2472.1385542168673</v>
      </c>
      <c r="J45" s="14"/>
    </row>
    <row r="46" spans="1:10" ht="19.5" customHeight="1" x14ac:dyDescent="0.2">
      <c r="A46" s="14"/>
      <c r="B46" s="271" t="s">
        <v>2</v>
      </c>
      <c r="C46" s="272"/>
      <c r="D46" s="272"/>
      <c r="E46" s="69">
        <v>34</v>
      </c>
      <c r="F46" s="36">
        <f>F$45*F$14</f>
        <v>119.36897590361446</v>
      </c>
      <c r="G46" s="36">
        <f>G$45*G$14</f>
        <v>724.68975903614455</v>
      </c>
      <c r="H46" s="36">
        <f>H$45*H$14</f>
        <v>1466.331325301205</v>
      </c>
      <c r="I46" s="74">
        <f>I$45*I$14</f>
        <v>2472.1385542168673</v>
      </c>
      <c r="J46" s="14"/>
    </row>
    <row r="47" spans="1:10" ht="19.5" customHeight="1" x14ac:dyDescent="0.2">
      <c r="A47" s="14"/>
      <c r="B47" s="269" t="s">
        <v>3</v>
      </c>
      <c r="C47" s="270"/>
      <c r="D47" s="270"/>
      <c r="E47" s="75">
        <v>66</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12372.149999999998</v>
      </c>
      <c r="D10" s="94">
        <f>D11+D12+D13+D14+D15</f>
        <v>11190.123077082315</v>
      </c>
      <c r="E10" s="94">
        <f>E11+E12+E13+E14+D15</f>
        <v>13485.007655415046</v>
      </c>
      <c r="F10" s="94">
        <f>F11+F12+F13+F14+D15</f>
        <v>16294.460640433508</v>
      </c>
      <c r="G10" s="95">
        <f>G11+G12+G13+G14+D15</f>
        <v>20011.401820858056</v>
      </c>
      <c r="H10" s="14"/>
    </row>
    <row r="11" spans="1:8" ht="19.5" customHeight="1" x14ac:dyDescent="0.2">
      <c r="B11" s="88" t="s">
        <v>6</v>
      </c>
      <c r="C11" s="96">
        <v>4285.38</v>
      </c>
      <c r="D11" s="97">
        <f>C11/'Basis-Annahmen'!E34*((1-'Basis-Annahmen'!F19)^(D9-C9))*'Basis-Annahmen'!F34</f>
        <v>3924.836488794976</v>
      </c>
      <c r="E11" s="97">
        <f>D11/'Basis-Annahmen'!F34*((1-'Basis-Annahmen'!G19)^5)*'Basis-Annahmen'!G34</f>
        <v>3682.2402995033458</v>
      </c>
      <c r="F11" s="97">
        <f>E11/'Basis-Annahmen'!G34*((1-'Basis-Annahmen'!H19)^5)*'Basis-Annahmen'!H34</f>
        <v>3454.1665324439605</v>
      </c>
      <c r="G11" s="98">
        <f>F11/'Basis-Annahmen'!H34*((1-'Basis-Annahmen'!I19)^5)*'Basis-Annahmen'!I34</f>
        <v>3239.7863404057252</v>
      </c>
      <c r="H11" s="14"/>
    </row>
    <row r="12" spans="1:8" ht="19.5" customHeight="1" x14ac:dyDescent="0.2">
      <c r="B12" s="88" t="s">
        <v>104</v>
      </c>
      <c r="C12" s="96">
        <v>6139.7699999999995</v>
      </c>
      <c r="D12" s="97">
        <f>((1-'Basis-Annahmen'!F20)^(D9-C9))*((1+'Basis-Annahmen'!F9)^(D9-C9))*C12</f>
        <v>6440.7392441127977</v>
      </c>
      <c r="E12" s="97">
        <f>((1-'Basis-Annahmen'!G20)^5)*((1+'Basis-Annahmen'!G9)^5)*D12</f>
        <v>7196.2068272878305</v>
      </c>
      <c r="F12" s="97">
        <f>((1-'Basis-Annahmen'!H20)^5)*((1+'Basis-Annahmen'!H9)^5)*E12</f>
        <v>8040.2871065520594</v>
      </c>
      <c r="G12" s="98">
        <f>((1-'Basis-Annahmen'!I20)^5)*((1+'Basis-Annahmen'!I9)^5)*F12</f>
        <v>8983.373922863153</v>
      </c>
      <c r="H12" s="14"/>
    </row>
    <row r="13" spans="1:8" ht="19.5" customHeight="1" x14ac:dyDescent="0.2">
      <c r="B13" s="88" t="s">
        <v>7</v>
      </c>
      <c r="C13" s="96">
        <v>577.29</v>
      </c>
      <c r="D13" s="97">
        <f>C13*((1-'Basis-Annahmen'!F20)^(D9-C9))</f>
        <v>466.44041646369845</v>
      </c>
      <c r="E13" s="97">
        <f>D13*((1-'Basis-Annahmen'!G20)^5)</f>
        <v>432.49125151543598</v>
      </c>
      <c r="F13" s="97">
        <f>E13*((1-'Basis-Annahmen'!H20)^5)</f>
        <v>401.01302553387438</v>
      </c>
      <c r="G13" s="98">
        <f>F13*((1-'Basis-Annahmen'!I20)^5)</f>
        <v>371.82589493857608</v>
      </c>
      <c r="H13" s="14"/>
    </row>
    <row r="14" spans="1:8" ht="19.5" customHeight="1" x14ac:dyDescent="0.2">
      <c r="B14" s="88" t="s">
        <v>8</v>
      </c>
      <c r="C14" s="96"/>
      <c r="D14" s="97">
        <f>'Basis-Annahmen'!F46*'Basis-Annahmen'!F51+'Basis-Annahmen'!F47*'Basis-Annahmen'!F52</f>
        <v>358.10692771084337</v>
      </c>
      <c r="E14" s="97">
        <f>'Basis-Annahmen'!G46*'Basis-Annahmen'!G51+'Basis-Annahmen'!G47*'Basis-Annahmen'!G52</f>
        <v>2174.0692771084337</v>
      </c>
      <c r="F14" s="97">
        <f>'Basis-Annahmen'!H46*'Basis-Annahmen'!H51+'Basis-Annahmen'!H47*'Basis-Annahmen'!H52</f>
        <v>4398.9939759036151</v>
      </c>
      <c r="G14" s="98">
        <f>'Basis-Annahmen'!I46*'Basis-Annahmen'!I51+'Basis-Annahmen'!I47*'Basis-Annahmen'!I52</f>
        <v>7416.4156626506019</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-9.5539330101694783E-2</v>
      </c>
      <c r="E16" s="101">
        <f>(E10-$C$10)/$C$10</f>
        <v>8.9948606783384288E-2</v>
      </c>
      <c r="F16" s="101">
        <f t="shared" ref="F16" si="0">(F10-$C$10)/$C$10</f>
        <v>0.31702740755919634</v>
      </c>
      <c r="G16" s="102">
        <f>(G10-$C$10)/$C$10</f>
        <v>0.61745548032137176</v>
      </c>
      <c r="H16" s="14"/>
    </row>
    <row r="17" spans="1:10" ht="19.5" customHeight="1" x14ac:dyDescent="0.2">
      <c r="B17" s="89" t="s">
        <v>97</v>
      </c>
      <c r="C17" s="107"/>
      <c r="D17" s="104">
        <f>D14/D10</f>
        <v>3.20020544228201E-2</v>
      </c>
      <c r="E17" s="104">
        <f>E14/E10</f>
        <v>0.16122121193126748</v>
      </c>
      <c r="F17" s="104">
        <f>F14/F10</f>
        <v>0.26996867665492619</v>
      </c>
      <c r="G17" s="105">
        <f>G14/G10</f>
        <v>0.37060950197503945</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25012</v>
      </c>
      <c r="G21" s="111"/>
    </row>
    <row r="22" spans="1:10" s="14" customFormat="1" ht="19.5" customHeight="1" x14ac:dyDescent="0.2">
      <c r="B22" s="110" t="s">
        <v>14</v>
      </c>
      <c r="C22" s="122">
        <v>24060</v>
      </c>
      <c r="D22" s="112"/>
      <c r="E22" s="112"/>
      <c r="G22" s="82"/>
    </row>
    <row r="23" spans="1:10" s="14" customFormat="1" ht="19.5" customHeight="1" x14ac:dyDescent="0.2">
      <c r="B23" s="110" t="s">
        <v>15</v>
      </c>
      <c r="C23" s="122">
        <v>952</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0</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25039</v>
      </c>
      <c r="D37" s="94">
        <f>SUM(D38:D40)</f>
        <v>25959.584324007414</v>
      </c>
      <c r="E37" s="94">
        <f>SUM(E38:E40)</f>
        <v>26762.663855534698</v>
      </c>
      <c r="F37" s="94">
        <f t="shared" ref="F37:G37" si="1">SUM(F38:F40)</f>
        <v>27724.099779544813</v>
      </c>
      <c r="G37" s="95">
        <f t="shared" si="1"/>
        <v>28900.694371981444</v>
      </c>
      <c r="H37" s="14"/>
    </row>
    <row r="38" spans="1:8" ht="19.5" customHeight="1" x14ac:dyDescent="0.2">
      <c r="A38" s="14"/>
      <c r="B38" s="113" t="s">
        <v>6</v>
      </c>
      <c r="C38" s="96">
        <v>17096.84</v>
      </c>
      <c r="D38" s="97">
        <f>C38-((('Basis-Annahmen'!$E$40*'Basis-Annahmen'!$E$34*Ausbauziel_Wärme!F$22*(D36-C36))*('Basis-Annahmen'!$E$30-'Basis-Annahmen'!F$29))/1000)+((IF('Basis-Annahmen'!F$34-'Basis-Annahmen'!E$34&lt;0,0,('Basis-Annahmen'!F$34-'Basis-Annahmen'!E$34)*('Basis-Annahmen'!$E$40*'Basis-Annahmen'!F28/1000))))</f>
        <v>16476.108</v>
      </c>
      <c r="E38" s="97">
        <f>D38-((('Basis-Annahmen'!$E$40*'Basis-Annahmen'!$E$34*Ausbauziel_Wärme!G$22*5)*('Basis-Annahmen'!$E$30-'Basis-Annahmen'!G$29))/1000)+((IF('Basis-Annahmen'!G$34-'Basis-Annahmen'!F$34&lt;0,0,('Basis-Annahmen'!G$34-'Basis-Annahmen'!F$34)*('Basis-Annahmen'!$E$40*'Basis-Annahmen'!G28/1000))))</f>
        <v>15985.128000000001</v>
      </c>
      <c r="F38" s="97">
        <f>E38-((('Basis-Annahmen'!$E$40*'Basis-Annahmen'!$E$34*Ausbauziel_Wärme!H$22*5)*('Basis-Annahmen'!$E$30-'Basis-Annahmen'!H$29))/1000)+((IF('Basis-Annahmen'!H$34-'Basis-Annahmen'!G$34&lt;0,0,('Basis-Annahmen'!H$34-'Basis-Annahmen'!G$34)*('Basis-Annahmen'!$E$40*'Basis-Annahmen'!H28/1000))))</f>
        <v>15464.748000000001</v>
      </c>
      <c r="G38" s="98">
        <f>F38-((('Basis-Annahmen'!$E$40*'Basis-Annahmen'!$E$34*Ausbauziel_Wärme!I$22*5)*('Basis-Annahmen'!$E$30-'Basis-Annahmen'!I$29))/1000)+((IF('Basis-Annahmen'!I$34-'Basis-Annahmen'!H$34&lt;0,0,('Basis-Annahmen'!I$34-'Basis-Annahmen'!H$34)*('Basis-Annahmen'!$E$40*'Basis-Annahmen'!I28/1000))))</f>
        <v>14944.368000000002</v>
      </c>
      <c r="H38" s="14"/>
    </row>
    <row r="39" spans="1:8" ht="19.5" customHeight="1" x14ac:dyDescent="0.2">
      <c r="A39" s="14"/>
      <c r="B39" s="113" t="s">
        <v>104</v>
      </c>
      <c r="C39" s="96">
        <v>7284.75</v>
      </c>
      <c r="D39" s="97">
        <f>C39*((1-'Basis-Annahmen'!F$24)^(D36-C36))*((1+'Basis-Annahmen'!F$9)^(D36-C36))</f>
        <v>8815.409451713891</v>
      </c>
      <c r="E39" s="97">
        <f>((1-'Basis-Annahmen'!G$24)^5)*((1+'Basis-Annahmen'!G$9)^5)*'Nachfrage &amp; Erzeugung'!D39</f>
        <v>10101.950344800711</v>
      </c>
      <c r="F39" s="97">
        <f>((1-'Basis-Annahmen'!H$24)^5)*((1+'Basis-Annahmen'!H$9)^5)*'Nachfrage &amp; Erzeugung'!E39</f>
        <v>11576.251940172646</v>
      </c>
      <c r="G39" s="98">
        <f>((1-'Basis-Annahmen'!I$24)^5)*((1+'Basis-Annahmen'!I$9)^5)*'Nachfrage &amp; Erzeugung'!F39</f>
        <v>13265.716461507182</v>
      </c>
      <c r="H39" s="14"/>
    </row>
    <row r="40" spans="1:8" ht="19.5" customHeight="1" x14ac:dyDescent="0.2">
      <c r="A40" s="14"/>
      <c r="B40" s="113" t="s">
        <v>7</v>
      </c>
      <c r="C40" s="96">
        <v>657</v>
      </c>
      <c r="D40" s="97">
        <f>C40+(C40*'Basis-Annahmen'!F36)*((1-'Basis-Annahmen'!F24)^(D36-C36))</f>
        <v>668.06687229352212</v>
      </c>
      <c r="E40" s="97">
        <f>D40+(D40*'Basis-Annahmen'!G36)*((1-'Basis-Annahmen'!G24)^5)</f>
        <v>675.58551073398314</v>
      </c>
      <c r="F40" s="97">
        <f>E40+(E40*'Basis-Annahmen'!H36)*((1-'Basis-Annahmen'!H24)^5)</f>
        <v>683.09983937216589</v>
      </c>
      <c r="G40" s="98">
        <f>F40+(F40*'Basis-Annahmen'!I36)*((1-'Basis-Annahmen'!I24)^5)</f>
        <v>690.60991047426091</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3.6766017972259819E-2</v>
      </c>
      <c r="E42" s="104">
        <f>(E37-$C$37)/$C$37</f>
        <v>6.8839165123794802E-2</v>
      </c>
      <c r="F42" s="104">
        <f>(F37-$C$37)/$C$37</f>
        <v>0.10723670192678673</v>
      </c>
      <c r="G42" s="105">
        <f>(G37-$C$37)/$C$37</f>
        <v>0.15422718047771256</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2906</v>
      </c>
      <c r="D46" s="117"/>
      <c r="E46" s="100"/>
      <c r="F46" s="100"/>
      <c r="G46" s="82"/>
      <c r="H46" s="14"/>
    </row>
    <row r="47" spans="1:8" ht="19.5" customHeight="1" x14ac:dyDescent="0.2">
      <c r="A47" s="72"/>
      <c r="B47" s="124" t="s">
        <v>76</v>
      </c>
      <c r="C47" s="125">
        <f>IF(C37-C46&lt;0,0,C37-C46)</f>
        <v>22133</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0.60853785362342039</v>
      </c>
      <c r="D52" s="167">
        <v>0</v>
      </c>
      <c r="E52" s="167">
        <v>0</v>
      </c>
      <c r="F52" s="168">
        <f>1-D52</f>
        <v>1</v>
      </c>
      <c r="G52" s="95"/>
      <c r="H52" s="14"/>
    </row>
    <row r="53" spans="1:8" ht="19.5" customHeight="1" x14ac:dyDescent="0.2">
      <c r="A53" s="14"/>
      <c r="B53" s="166" t="s">
        <v>195</v>
      </c>
      <c r="C53" s="167">
        <v>0.39146214637657967</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45000</v>
      </c>
      <c r="E9" s="131" t="s">
        <v>13</v>
      </c>
    </row>
    <row r="10" spans="1:6" s="130" customFormat="1" ht="19.5" customHeight="1" x14ac:dyDescent="0.25">
      <c r="B10" s="295" t="s">
        <v>129</v>
      </c>
      <c r="C10" s="296"/>
      <c r="D10" s="96">
        <v>5</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10444.717665</v>
      </c>
      <c r="E14" s="133" t="s">
        <v>13</v>
      </c>
    </row>
    <row r="15" spans="1:6" s="130" customFormat="1" ht="19.5" customHeight="1" x14ac:dyDescent="0.25">
      <c r="B15" s="297" t="s">
        <v>151</v>
      </c>
      <c r="C15" s="298"/>
      <c r="D15" s="173">
        <v>69631.451100000006</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64800</v>
      </c>
      <c r="E21" s="133" t="s">
        <v>13</v>
      </c>
    </row>
    <row r="22" spans="2:6" s="132" customFormat="1" ht="19.5" customHeight="1" x14ac:dyDescent="0.25">
      <c r="B22" s="297" t="s">
        <v>150</v>
      </c>
      <c r="C22" s="298"/>
      <c r="D22" s="96">
        <v>90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